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815" yWindow="150" windowWidth="14985" windowHeight="12045" tabRatio="428" activeTab="1"/>
  </bookViews>
  <sheets>
    <sheet name="INPUT" sheetId="6" r:id="rId1"/>
    <sheet name="Output" sheetId="1" r:id="rId2"/>
  </sheets>
  <calcPr calcId="145621"/>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<sst xmlns="http://schemas.openxmlformats.org/spreadsheetml/2006/main" count="76" uniqueCount="40">
  <si>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</si>
  <si>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</si>
  <si>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</si>
  <si>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</si>
  <si>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</si>
  <si>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</si>
  <si>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</si>
  <si>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</si>
  <si>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</si>
  <si>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</si>
  <si>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</si>
  <si>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</si>
  <si>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</si>
  <si>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</si>
  <si>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</si>
  <si>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</si>
  <si>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</si>
  <si>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</si>
  <si>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</si>
  <si>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</si>
  <si>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</si>
  <si>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</si>
  <si>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</si>
  <si>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</si>
  <si>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</si>
  <si>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</si>
  <si>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</si>
  <si>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</si>
  <si>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</si>
  <si>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</si>
  <si>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</si>
  <si>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</si>
  <si>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</si>
  <si>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</si>
  <si>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</si>
  <si>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</si>
  <si>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</si>
  <si>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</si>
  <si>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March 25, 2015.</t>
  </si>
  <si>
    <t>CSX Transportation Inc.'s quarter ended on March 25,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</si>
</sst>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zoomScale="115" zoomScaleNormal="115" workbookViewId="0">
      <selection activeCell="E6" sqref="E6"/>
    </sheetView>
  </sheetViews>
  <sheetFormatPr defaultRowHeight="11.25" x14ac:dyDescent="0.2"/>
  <cols>
    <col min="1" max="1" width="32" style="6" customWidth="1"/>
    <col min="2" max="2" width="10.5" style="6" bestFit="1" customWidth="1"/>
    <col min="3" max="3" width="9.33203125" style="6" bestFit="1" customWidth="1"/>
    <col min="4" max="4" width="9.6640625" style="6" bestFit="1" customWidth="1"/>
    <col min="5" max="5" width="12.5" style="6" bestFit="1" customWidth="1"/>
    <col min="6" max="12" width="9" style="6" bestFit="1" customWidth="1"/>
    <col min="13" max="13" width="8.83203125" style="6" bestFit="1" customWidth="1"/>
    <col min="14" max="16" width="9" style="6" bestFit="1" customWidth="1"/>
    <col min="17" max="17" width="8" style="6" bestFit="1" customWidth="1"/>
    <col min="18" max="18" width="8.83203125" style="6" bestFit="1" customWidth="1"/>
    <col min="19"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25</v>
      </c>
      <c r="B1" s="11"/>
      <c r="C1" s="38" t="s">
        <v>39</v>
      </c>
      <c r="D1" s="38"/>
      <c r="E1" s="38"/>
      <c r="F1" s="38"/>
    </row>
    <row r="2" spans="1:36" ht="30" x14ac:dyDescent="0.2">
      <c r="A2" s="31" t="s">
        <v>16</v>
      </c>
      <c r="B2" s="11"/>
      <c r="C2" s="38" t="s">
        <v>38</v>
      </c>
      <c r="D2" s="38"/>
      <c r="E2" s="38"/>
      <c r="F2" s="38"/>
    </row>
    <row r="3" spans="1:36" x14ac:dyDescent="0.2">
      <c r="A3" s="25">
        <v>2016</v>
      </c>
    </row>
    <row r="4" spans="1:36" ht="12" thickBot="1" x14ac:dyDescent="0.25">
      <c r="A4" s="25">
        <f>A3-1</f>
        <v>2015</v>
      </c>
    </row>
    <row r="5" spans="1:36" s="9" customFormat="1" ht="12" thickBot="1" x14ac:dyDescent="0.25">
      <c r="A5" s="8"/>
      <c r="B5" s="32" t="s">
        <v>18</v>
      </c>
      <c r="C5" s="33"/>
      <c r="D5" s="33"/>
      <c r="E5" s="33"/>
      <c r="F5" s="34"/>
      <c r="G5" s="32" t="s">
        <v>19</v>
      </c>
      <c r="H5" s="33"/>
      <c r="I5" s="33"/>
      <c r="J5" s="33"/>
      <c r="K5" s="34"/>
      <c r="L5" s="35" t="s">
        <v>33</v>
      </c>
      <c r="M5" s="36"/>
      <c r="N5" s="36"/>
      <c r="O5" s="36"/>
      <c r="P5" s="37"/>
      <c r="Q5" s="32" t="s">
        <v>20</v>
      </c>
      <c r="R5" s="33"/>
      <c r="S5" s="33"/>
      <c r="T5" s="33"/>
      <c r="U5" s="34"/>
      <c r="V5" s="32" t="s">
        <v>21</v>
      </c>
      <c r="W5" s="33"/>
      <c r="X5" s="33"/>
      <c r="Y5" s="33"/>
      <c r="Z5" s="34"/>
      <c r="AA5" s="35" t="s">
        <v>34</v>
      </c>
      <c r="AB5" s="36"/>
      <c r="AC5" s="36"/>
      <c r="AD5" s="36"/>
      <c r="AE5" s="37"/>
      <c r="AF5" s="35" t="s">
        <v>22</v>
      </c>
      <c r="AG5" s="36"/>
      <c r="AH5" s="36"/>
      <c r="AI5" s="36"/>
      <c r="AJ5" s="37"/>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11" customFormat="1" x14ac:dyDescent="0.2">
      <c r="A12" s="10" t="s">
        <v>35</v>
      </c>
      <c r="B12" s="19">
        <v>688381</v>
      </c>
      <c r="C12" s="17">
        <v>370876</v>
      </c>
      <c r="D12" s="17">
        <v>-33139</v>
      </c>
      <c r="E12" s="17">
        <v>303130</v>
      </c>
      <c r="F12" s="21">
        <v>9329</v>
      </c>
      <c r="G12" s="19">
        <v>218189.85860000001</v>
      </c>
      <c r="H12" s="17">
        <v>124137</v>
      </c>
      <c r="I12" s="17">
        <v>-38919.329299999998</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29720.146000000001</v>
      </c>
      <c r="AB12" s="17">
        <v>16711.988000000001</v>
      </c>
      <c r="AC12" s="17">
        <v>-10884.284</v>
      </c>
      <c r="AD12" s="17">
        <v>14148.878830000001</v>
      </c>
      <c r="AE12" s="21">
        <v>5229.5266600000004</v>
      </c>
      <c r="AF12" s="19">
        <v>483764</v>
      </c>
      <c r="AG12" s="17">
        <v>271611</v>
      </c>
      <c r="AH12" s="17">
        <v>-56670</v>
      </c>
      <c r="AI12" s="17">
        <v>314055</v>
      </c>
      <c r="AJ12" s="21">
        <v>32402</v>
      </c>
    </row>
    <row r="13" spans="1:36" s="11" customFormat="1" x14ac:dyDescent="0.2">
      <c r="A13" s="10" t="s">
        <v>24</v>
      </c>
      <c r="B13" s="19">
        <v>587277</v>
      </c>
      <c r="C13" s="17">
        <v>364638</v>
      </c>
      <c r="D13" s="17">
        <v>-101104</v>
      </c>
      <c r="E13" s="17">
        <v>209115</v>
      </c>
      <c r="F13" s="21">
        <v>3059</v>
      </c>
      <c r="G13" s="19">
        <v>196326</v>
      </c>
      <c r="H13" s="17">
        <v>124486</v>
      </c>
      <c r="I13" s="17">
        <v>-21863</v>
      </c>
      <c r="J13" s="17">
        <v>86053</v>
      </c>
      <c r="K13" s="21">
        <v>415</v>
      </c>
      <c r="L13" s="19">
        <v>53487</v>
      </c>
      <c r="M13" s="17">
        <v>28826</v>
      </c>
      <c r="N13" s="17">
        <v>5492</v>
      </c>
      <c r="O13" s="17">
        <v>13851</v>
      </c>
      <c r="P13" s="21">
        <v>1322</v>
      </c>
      <c r="Q13" s="19">
        <v>26599</v>
      </c>
      <c r="R13" s="17">
        <v>17141</v>
      </c>
      <c r="S13" s="17">
        <v>-4542</v>
      </c>
      <c r="T13" s="17">
        <v>11096</v>
      </c>
      <c r="U13" s="21">
        <v>2587</v>
      </c>
      <c r="V13" s="19">
        <v>199905</v>
      </c>
      <c r="W13" s="17">
        <v>130242</v>
      </c>
      <c r="X13" s="17">
        <v>-26334</v>
      </c>
      <c r="Y13" s="17">
        <v>81817</v>
      </c>
      <c r="Z13" s="21">
        <v>218</v>
      </c>
      <c r="AA13" s="19">
        <v>25819</v>
      </c>
      <c r="AB13" s="17">
        <v>16920</v>
      </c>
      <c r="AC13" s="17">
        <v>-3901</v>
      </c>
      <c r="AD13" s="17">
        <v>7632</v>
      </c>
      <c r="AE13" s="21">
        <v>2370</v>
      </c>
      <c r="AF13" s="19">
        <v>424165</v>
      </c>
      <c r="AG13" s="17">
        <v>266310</v>
      </c>
      <c r="AH13" s="17">
        <v>-59599</v>
      </c>
      <c r="AI13" s="17">
        <v>218079</v>
      </c>
      <c r="AJ13" s="21">
        <v>19834</v>
      </c>
    </row>
    <row r="14" spans="1:36" s="30" customFormat="1" x14ac:dyDescent="0.2">
      <c r="A14" s="12" t="s">
        <v>25</v>
      </c>
      <c r="B14" s="20">
        <v>405880</v>
      </c>
      <c r="C14" s="18">
        <v>332147</v>
      </c>
      <c r="D14" s="18">
        <v>-181397</v>
      </c>
      <c r="E14" s="18">
        <v>123810</v>
      </c>
      <c r="F14" s="22">
        <v>456</v>
      </c>
      <c r="G14" s="20">
        <v>145992</v>
      </c>
      <c r="H14" s="18">
        <v>122532</v>
      </c>
      <c r="I14" s="18">
        <v>-50335</v>
      </c>
      <c r="J14" s="18">
        <v>52032</v>
      </c>
      <c r="K14" s="22">
        <v>152</v>
      </c>
      <c r="L14" s="20">
        <v>40627</v>
      </c>
      <c r="M14" s="18">
        <v>30717</v>
      </c>
      <c r="N14" s="18">
        <v>-12860</v>
      </c>
      <c r="O14" s="18">
        <v>7132</v>
      </c>
      <c r="P14" s="22">
        <v>249</v>
      </c>
      <c r="Q14" s="20">
        <v>19080</v>
      </c>
      <c r="R14" s="18">
        <v>15584</v>
      </c>
      <c r="S14" s="18">
        <v>-7519</v>
      </c>
      <c r="T14" s="18">
        <v>6663</v>
      </c>
      <c r="U14" s="22">
        <v>1410</v>
      </c>
      <c r="V14" s="20">
        <v>152309</v>
      </c>
      <c r="W14" s="18">
        <v>127870</v>
      </c>
      <c r="X14" s="18">
        <v>-47596</v>
      </c>
      <c r="Y14" s="18">
        <v>49073</v>
      </c>
      <c r="Z14" s="22">
        <v>83</v>
      </c>
      <c r="AA14" s="20">
        <v>16128</v>
      </c>
      <c r="AB14" s="18">
        <v>15746</v>
      </c>
      <c r="AC14" s="18">
        <v>-9692</v>
      </c>
      <c r="AD14" s="18">
        <v>2746</v>
      </c>
      <c r="AE14" s="22">
        <v>631</v>
      </c>
      <c r="AF14" s="20">
        <v>320213</v>
      </c>
      <c r="AG14" s="18">
        <v>257872</v>
      </c>
      <c r="AH14" s="18">
        <v>-103952</v>
      </c>
      <c r="AI14" s="18">
        <v>112902</v>
      </c>
      <c r="AJ14" s="22">
        <v>8835</v>
      </c>
    </row>
    <row r="15" spans="1:36" x14ac:dyDescent="0.2">
      <c r="A15" s="10" t="s">
        <v>26</v>
      </c>
      <c r="B15" s="19"/>
      <c r="C15" s="17"/>
      <c r="D15" s="17"/>
      <c r="E15" s="17"/>
      <c r="F15" s="21"/>
      <c r="G15" s="19"/>
      <c r="H15" s="17"/>
      <c r="I15" s="17"/>
      <c r="J15" s="17"/>
      <c r="K15" s="21"/>
      <c r="L15" s="19"/>
      <c r="M15" s="17"/>
      <c r="N15" s="17"/>
      <c r="O15" s="17"/>
      <c r="P15" s="21"/>
      <c r="Q15" s="19"/>
      <c r="R15" s="17"/>
      <c r="S15" s="17"/>
      <c r="T15" s="17"/>
      <c r="U15" s="21"/>
      <c r="V15" s="19"/>
      <c r="W15" s="17"/>
      <c r="X15" s="17"/>
      <c r="Y15" s="17"/>
      <c r="Z15" s="21"/>
      <c r="AA15" s="19"/>
      <c r="AB15" s="17"/>
      <c r="AC15" s="17"/>
      <c r="AD15" s="17"/>
      <c r="AE15" s="21"/>
      <c r="AF15" s="19"/>
      <c r="AG15" s="17"/>
      <c r="AH15" s="17"/>
      <c r="AI15" s="17"/>
      <c r="AJ15" s="21"/>
    </row>
    <row r="16" spans="1:36" x14ac:dyDescent="0.2">
      <c r="A16" s="10" t="s">
        <v>36</v>
      </c>
      <c r="B16" s="19"/>
      <c r="C16" s="17"/>
      <c r="D16" s="17"/>
      <c r="E16" s="17"/>
      <c r="F16" s="21"/>
      <c r="G16" s="19"/>
      <c r="H16" s="17"/>
      <c r="I16" s="17"/>
      <c r="J16" s="17"/>
      <c r="K16" s="21"/>
      <c r="L16" s="19"/>
      <c r="M16" s="17"/>
      <c r="N16" s="17"/>
      <c r="O16" s="17"/>
      <c r="P16" s="21"/>
      <c r="Q16" s="19"/>
      <c r="R16" s="17"/>
      <c r="S16" s="17"/>
      <c r="T16" s="17"/>
      <c r="U16" s="21"/>
      <c r="V16" s="19"/>
      <c r="W16" s="17"/>
      <c r="X16" s="17"/>
      <c r="Y16" s="17"/>
      <c r="Z16" s="21"/>
      <c r="AA16" s="19"/>
      <c r="AB16" s="17"/>
      <c r="AC16" s="17"/>
      <c r="AD16" s="17"/>
      <c r="AE16" s="21"/>
      <c r="AF16" s="19"/>
      <c r="AG16" s="17"/>
      <c r="AH16" s="17"/>
      <c r="AI16" s="17"/>
      <c r="AJ16" s="21"/>
    </row>
    <row r="17" spans="1:36" x14ac:dyDescent="0.2">
      <c r="A17" s="10" t="s">
        <v>27</v>
      </c>
      <c r="B17" s="19"/>
      <c r="C17" s="17"/>
      <c r="D17" s="17"/>
      <c r="E17" s="17"/>
      <c r="F17" s="21"/>
      <c r="G17" s="19"/>
      <c r="H17" s="17"/>
      <c r="I17" s="17"/>
      <c r="J17" s="17"/>
      <c r="K17" s="21"/>
      <c r="L17" s="19"/>
      <c r="M17" s="17"/>
      <c r="N17" s="17"/>
      <c r="O17" s="17"/>
      <c r="P17" s="21"/>
      <c r="Q17" s="19"/>
      <c r="R17" s="17"/>
      <c r="S17" s="17"/>
      <c r="T17" s="17"/>
      <c r="U17" s="21"/>
      <c r="V17" s="19"/>
      <c r="W17" s="17"/>
      <c r="X17" s="17"/>
      <c r="Y17" s="17"/>
      <c r="Z17" s="21"/>
      <c r="AA17" s="19"/>
      <c r="AB17" s="17"/>
      <c r="AC17" s="17"/>
      <c r="AD17" s="17"/>
      <c r="AE17" s="21"/>
      <c r="AF17" s="19"/>
      <c r="AG17" s="17"/>
      <c r="AH17" s="17"/>
      <c r="AI17" s="17"/>
      <c r="AJ17" s="21"/>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disablePrompts="1"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M9" sqref="M9"/>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1" t="s">
        <v>0</v>
      </c>
      <c r="B1" s="41"/>
      <c r="C1" s="41"/>
      <c r="D1" s="41"/>
      <c r="E1" s="41"/>
      <c r="F1" s="41"/>
      <c r="G1" s="41"/>
    </row>
    <row r="2" spans="1:7" ht="15.95" customHeight="1" x14ac:dyDescent="0.2">
      <c r="A2" s="41" t="s">
        <v>1</v>
      </c>
      <c r="B2" s="41"/>
      <c r="C2" s="41"/>
      <c r="D2" s="41"/>
      <c r="E2" s="41"/>
      <c r="F2" s="41"/>
      <c r="G2" s="41"/>
    </row>
    <row r="3" spans="1:7" ht="72" customHeight="1" x14ac:dyDescent="0.2">
      <c r="A3" s="2"/>
      <c r="B3" s="3" t="str">
        <f>INPUT!A1&amp;"*"</f>
        <v>QUARTER ENDED MARCH 31 2016*</v>
      </c>
      <c r="C3" s="4" t="s">
        <v>2</v>
      </c>
      <c r="D3" s="4" t="s">
        <v>3</v>
      </c>
      <c r="E3" s="4" t="s">
        <v>4</v>
      </c>
      <c r="F3" s="4" t="s">
        <v>5</v>
      </c>
      <c r="G3" s="4" t="s">
        <v>6</v>
      </c>
    </row>
    <row r="4" spans="1:7" ht="27.95" customHeight="1" x14ac:dyDescent="0.2">
      <c r="A4" s="39" t="s">
        <v>7</v>
      </c>
      <c r="B4" s="3">
        <f>INPUT!A3</f>
        <v>2016</v>
      </c>
      <c r="C4" s="24">
        <f>VLOOKUP(INPUT!$A$1,INPUT!$A$5:$AJ$21,2,FALSE)</f>
        <v>405880</v>
      </c>
      <c r="D4" s="24">
        <f>VLOOKUP(INPUT!$A$1,INPUT!$A$5:$AJ$21,3,FALSE)</f>
        <v>332147</v>
      </c>
      <c r="E4" s="26">
        <f>VLOOKUP(INPUT!$A$1,INPUT!$A$5:$AJ$21,4,FALSE)</f>
        <v>-181397</v>
      </c>
      <c r="F4" s="24">
        <f>VLOOKUP(INPUT!$A$1,INPUT!$A$5:$AJ$21,5,FALSE)</f>
        <v>123810</v>
      </c>
      <c r="G4" s="24">
        <f>VLOOKUP(INPUT!$A$1,INPUT!$A$5:$AJ$21,6,FALSE)</f>
        <v>456</v>
      </c>
    </row>
    <row r="5" spans="1:7" ht="27.95" customHeight="1" x14ac:dyDescent="0.2">
      <c r="A5" s="40"/>
      <c r="B5" s="3">
        <f>INPUT!A4</f>
        <v>2015</v>
      </c>
      <c r="C5" s="24">
        <f>VLOOKUP(INPUT!$A$2,INPUT!$A$5:$AJ$21,2,FALSE)</f>
        <v>731455</v>
      </c>
      <c r="D5" s="24">
        <f>VLOOKUP(INPUT!$A$2,INPUT!$A$5:$AJ$21,3,FALSE)</f>
        <v>380631</v>
      </c>
      <c r="E5" s="26">
        <f>VLOOKUP(INPUT!$A$2,INPUT!$A$5:$AJ$21,4,FALSE)</f>
        <v>-329867</v>
      </c>
      <c r="F5" s="24">
        <f>VLOOKUP(INPUT!$A$2,INPUT!$A$5:$AJ$21,5,FALSE)</f>
        <v>482918</v>
      </c>
      <c r="G5" s="24">
        <f>VLOOKUP(INPUT!$A$2,INPUT!$A$5:$AJ$21,6,FALSE)</f>
        <v>84353</v>
      </c>
    </row>
    <row r="6" spans="1:7" ht="27.95" customHeight="1" x14ac:dyDescent="0.2">
      <c r="A6" s="42" t="s">
        <v>19</v>
      </c>
      <c r="B6" s="3">
        <f>$B$4</f>
        <v>2016</v>
      </c>
      <c r="C6" s="24">
        <f>VLOOKUP(INPUT!$A$1,INPUT!$A$5:$AJ$21,7,FALSE)</f>
        <v>145992</v>
      </c>
      <c r="D6" s="24">
        <f>VLOOKUP(INPUT!$A$1,INPUT!$A$5:$AJ$21,8,FALSE)</f>
        <v>122532</v>
      </c>
      <c r="E6" s="26">
        <f>VLOOKUP(INPUT!$A$1,INPUT!$A$5:$AJ$21,9,FALSE)</f>
        <v>-50335</v>
      </c>
      <c r="F6" s="24">
        <f>VLOOKUP(INPUT!$A$1,INPUT!$A$5:$AJ$21,10,FALSE)</f>
        <v>52032</v>
      </c>
      <c r="G6" s="24">
        <f>VLOOKUP(INPUT!$A$1,INPUT!$A$5:$AJ$21,11,FALSE)</f>
        <v>152</v>
      </c>
    </row>
    <row r="7" spans="1:7" ht="27.95" customHeight="1" x14ac:dyDescent="0.2">
      <c r="A7" s="43"/>
      <c r="B7" s="3">
        <f>$B$5</f>
        <v>2015</v>
      </c>
      <c r="C7" s="24">
        <f>VLOOKUP(INPUT!$A$2,INPUT!$A$5:$AJ$21,7,FALSE)</f>
        <v>262571</v>
      </c>
      <c r="D7" s="24">
        <f>VLOOKUP(INPUT!$A$2,INPUT!$A$5:$AJ$21,8,FALSE)</f>
        <v>141256</v>
      </c>
      <c r="E7" s="26">
        <f>VLOOKUP(INPUT!$A$2,INPUT!$A$5:$AJ$21,9,FALSE)</f>
        <v>-90018</v>
      </c>
      <c r="F7" s="24">
        <f>VLOOKUP(INPUT!$A$2,INPUT!$A$5:$AJ$21,10,FALSE)</f>
        <v>190831</v>
      </c>
      <c r="G7" s="24">
        <f>VLOOKUP(INPUT!$A$2,INPUT!$A$5:$AJ$21,11,FALSE)</f>
        <v>2992</v>
      </c>
    </row>
    <row r="8" spans="1:7" ht="27.95" customHeight="1" x14ac:dyDescent="0.2">
      <c r="A8" s="39" t="s">
        <v>8</v>
      </c>
      <c r="B8" s="3">
        <f>$B$4</f>
        <v>2016</v>
      </c>
      <c r="C8" s="24">
        <f>VLOOKUP(INPUT!$A$1,INPUT!$A$5:$AJ$21,12,FALSE)</f>
        <v>40627</v>
      </c>
      <c r="D8" s="24">
        <f>VLOOKUP(INPUT!$A$1,INPUT!$A$5:$AJ$21,13,FALSE)</f>
        <v>30717</v>
      </c>
      <c r="E8" s="26">
        <f>VLOOKUP(INPUT!$A$1,INPUT!$A$5:$AJ$21,14,FALSE)</f>
        <v>-12860</v>
      </c>
      <c r="F8" s="24">
        <f>VLOOKUP(INPUT!$A$1,INPUT!$A$5:$AJ$21,15,FALSE)</f>
        <v>7132</v>
      </c>
      <c r="G8" s="24">
        <f>VLOOKUP(INPUT!$A$1,INPUT!$A$5:$AJ$21,16,FALSE)</f>
        <v>249</v>
      </c>
    </row>
    <row r="9" spans="1:7" ht="27.95" customHeight="1" x14ac:dyDescent="0.2">
      <c r="A9" s="40"/>
      <c r="B9" s="3">
        <f>$B$5</f>
        <v>2015</v>
      </c>
      <c r="C9" s="24">
        <f>VLOOKUP(INPUT!$A$2,INPUT!$A$5:$AJ$21,12,FALSE)</f>
        <v>68931</v>
      </c>
      <c r="D9" s="24">
        <f>VLOOKUP(INPUT!$A$2,INPUT!$A$5:$AJ$21,13,FALSE)</f>
        <v>32636</v>
      </c>
      <c r="E9" s="26">
        <f>VLOOKUP(INPUT!$A$2,INPUT!$A$5:$AJ$21,14,FALSE)</f>
        <v>-26253</v>
      </c>
      <c r="F9" s="24">
        <f>VLOOKUP(INPUT!$A$2,INPUT!$A$5:$AJ$21,15,FALSE)</f>
        <v>41804</v>
      </c>
      <c r="G9" s="24">
        <f>VLOOKUP(INPUT!$A$2,INPUT!$A$5:$AJ$21,16,FALSE)</f>
        <v>4520</v>
      </c>
    </row>
    <row r="10" spans="1:7" ht="27.95" customHeight="1" x14ac:dyDescent="0.2">
      <c r="A10" s="39" t="s">
        <v>9</v>
      </c>
      <c r="B10" s="3">
        <f>$B$4</f>
        <v>2016</v>
      </c>
      <c r="C10" s="24">
        <f>VLOOKUP(INPUT!$A$1,INPUT!$A$5:$AJ$21,17,FALSE)</f>
        <v>19080</v>
      </c>
      <c r="D10" s="24">
        <f>VLOOKUP(INPUT!$A$1,INPUT!$A$5:$AJ$21,18,FALSE)</f>
        <v>15584</v>
      </c>
      <c r="E10" s="26">
        <f>VLOOKUP(INPUT!$A$1,INPUT!$A$5:$AJ$21,19,FALSE)</f>
        <v>-7519</v>
      </c>
      <c r="F10" s="24">
        <f>VLOOKUP(INPUT!$A$1,INPUT!$A$5:$AJ$21,20,FALSE)</f>
        <v>6663</v>
      </c>
      <c r="G10" s="24">
        <f>VLOOKUP(INPUT!$A$1,INPUT!$A$5:$AJ$21,21,FALSE)</f>
        <v>1410</v>
      </c>
    </row>
    <row r="11" spans="1:7" ht="27.95" customHeight="1" x14ac:dyDescent="0.2">
      <c r="A11" s="40"/>
      <c r="B11" s="3">
        <f>$B$5</f>
        <v>2015</v>
      </c>
      <c r="C11" s="24">
        <f>VLOOKUP(INPUT!$A$2,INPUT!$A$5:$AJ$21,17,FALSE)</f>
        <v>30840</v>
      </c>
      <c r="D11" s="24">
        <f>VLOOKUP(INPUT!$A$2,INPUT!$A$5:$AJ$21,18,FALSE)</f>
        <v>16590</v>
      </c>
      <c r="E11" s="26">
        <f>VLOOKUP(INPUT!$A$2,INPUT!$A$5:$AJ$21,19,FALSE)</f>
        <v>-12185</v>
      </c>
      <c r="F11" s="24">
        <f>VLOOKUP(INPUT!$A$2,INPUT!$A$5:$AJ$21,20,FALSE)</f>
        <v>24036</v>
      </c>
      <c r="G11" s="24">
        <f>VLOOKUP(INPUT!$A$2,INPUT!$A$5:$AJ$21,21,FALSE)</f>
        <v>5731</v>
      </c>
    </row>
    <row r="12" spans="1:7" ht="27.95" customHeight="1" x14ac:dyDescent="0.2">
      <c r="A12" s="39" t="s">
        <v>10</v>
      </c>
      <c r="B12" s="3">
        <f>$B$4</f>
        <v>2016</v>
      </c>
      <c r="C12" s="24">
        <f>VLOOKUP(INPUT!$A$1,INPUT!$A$5:$AJ$21,22,FALSE)</f>
        <v>152309</v>
      </c>
      <c r="D12" s="24">
        <f>VLOOKUP(INPUT!$A$1,INPUT!$A$5:$AJ$21,23,FALSE)</f>
        <v>127870</v>
      </c>
      <c r="E12" s="26">
        <f>VLOOKUP(INPUT!$A$1,INPUT!$A$5:$AJ$21,24,FALSE)</f>
        <v>-47596</v>
      </c>
      <c r="F12" s="24">
        <f>VLOOKUP(INPUT!$A$1,INPUT!$A$5:$AJ$21,25,FALSE)</f>
        <v>49073</v>
      </c>
      <c r="G12" s="24">
        <f>VLOOKUP(INPUT!$A$1,INPUT!$A$5:$AJ$21,26,FALSE)</f>
        <v>83</v>
      </c>
    </row>
    <row r="13" spans="1:7" ht="27.95" customHeight="1" x14ac:dyDescent="0.2">
      <c r="A13" s="40"/>
      <c r="B13" s="3">
        <f>$B$5</f>
        <v>2015</v>
      </c>
      <c r="C13" s="24">
        <f>VLOOKUP(INPUT!$A$2,INPUT!$A$5:$AJ$21,22,FALSE)</f>
        <v>269096</v>
      </c>
      <c r="D13" s="24">
        <f>VLOOKUP(INPUT!$A$2,INPUT!$A$5:$AJ$21,23,FALSE)</f>
        <v>136215</v>
      </c>
      <c r="E13" s="26">
        <f>VLOOKUP(INPUT!$A$2,INPUT!$A$5:$AJ$21,24,FALSE)</f>
        <v>-84675</v>
      </c>
      <c r="F13" s="24">
        <f>VLOOKUP(INPUT!$A$2,INPUT!$A$5:$AJ$21,25,FALSE)</f>
        <v>162640</v>
      </c>
      <c r="G13" s="24">
        <f>VLOOKUP(INPUT!$A$2,INPUT!$A$5:$AJ$21,26,FALSE)</f>
        <v>1199</v>
      </c>
    </row>
    <row r="14" spans="1:7" ht="27.95" customHeight="1" x14ac:dyDescent="0.2">
      <c r="A14" s="39" t="s">
        <v>11</v>
      </c>
      <c r="B14" s="3">
        <f>$B$4</f>
        <v>2016</v>
      </c>
      <c r="C14" s="24">
        <f>VLOOKUP(INPUT!$A$1,INPUT!$A$5:$AJ$21,27,FALSE)</f>
        <v>16128</v>
      </c>
      <c r="D14" s="24">
        <f>VLOOKUP(INPUT!$A$1,INPUT!$A$5:$AJ$21,28,FALSE)</f>
        <v>15746</v>
      </c>
      <c r="E14" s="26">
        <f>VLOOKUP(INPUT!$A$1,INPUT!$A$5:$AJ$21,29,FALSE)</f>
        <v>-9692</v>
      </c>
      <c r="F14" s="24">
        <f>VLOOKUP(INPUT!$A$1,INPUT!$A$5:$AJ$21,30,FALSE)</f>
        <v>2746</v>
      </c>
      <c r="G14" s="24">
        <f>VLOOKUP(INPUT!$A$1,INPUT!$A$5:$AJ$21,31,FALSE)</f>
        <v>631</v>
      </c>
    </row>
    <row r="15" spans="1:7" ht="27.95" customHeight="1" x14ac:dyDescent="0.2">
      <c r="A15" s="40"/>
      <c r="B15" s="3">
        <f>$B$5</f>
        <v>2015</v>
      </c>
      <c r="C15" s="24">
        <f>VLOOKUP(INPUT!$A$2,INPUT!$A$5:$AJ$21,27,FALSE)</f>
        <v>26744</v>
      </c>
      <c r="D15" s="24">
        <f>VLOOKUP(INPUT!$A$2,INPUT!$A$5:$AJ$21,28,FALSE)</f>
        <v>19297</v>
      </c>
      <c r="E15" s="26">
        <f>VLOOKUP(INPUT!$A$2,INPUT!$A$5:$AJ$21,29,FALSE)</f>
        <v>-47879</v>
      </c>
      <c r="F15" s="24">
        <f>VLOOKUP(INPUT!$A$2,INPUT!$A$5:$AJ$21,30,FALSE)</f>
        <v>23526</v>
      </c>
      <c r="G15" s="24">
        <f>VLOOKUP(INPUT!$A$2,INPUT!$A$5:$AJ$21,31,FALSE)</f>
        <v>9718</v>
      </c>
    </row>
    <row r="16" spans="1:7" ht="27.95" customHeight="1" x14ac:dyDescent="0.2">
      <c r="A16" s="39" t="s">
        <v>12</v>
      </c>
      <c r="B16" s="3">
        <f>$B$4</f>
        <v>2016</v>
      </c>
      <c r="C16" s="24">
        <f>VLOOKUP(INPUT!$A$1,INPUT!$A$5:$AJ$21,32,FALSE)</f>
        <v>320213</v>
      </c>
      <c r="D16" s="24">
        <f>VLOOKUP(INPUT!$A$1,INPUT!$A$5:$AJ$21,33,FALSE)</f>
        <v>257872</v>
      </c>
      <c r="E16" s="26">
        <f>VLOOKUP(INPUT!$A$1,INPUT!$A$5:$AJ$21,34,FALSE)</f>
        <v>-103952</v>
      </c>
      <c r="F16" s="24">
        <f>VLOOKUP(INPUT!$A$1,INPUT!$A$5:$AJ$21,35,FALSE)</f>
        <v>112902</v>
      </c>
      <c r="G16" s="24">
        <f>VLOOKUP(INPUT!$A$1,INPUT!$A$5:$AJ$21,36,FALSE)</f>
        <v>8835</v>
      </c>
    </row>
    <row r="17" spans="1:7" ht="27.95" customHeight="1" x14ac:dyDescent="0.2">
      <c r="A17" s="40"/>
      <c r="B17" s="3">
        <f>$B$5</f>
        <v>2015</v>
      </c>
      <c r="C17" s="24">
        <f>VLOOKUP(INPUT!$A$2,INPUT!$A$5:$AJ$21,32,FALSE)</f>
        <v>564610</v>
      </c>
      <c r="D17" s="24">
        <f>VLOOKUP(INPUT!$A$2,INPUT!$A$5:$AJ$21,33,FALSE)</f>
        <v>293581</v>
      </c>
      <c r="E17" s="26">
        <f>VLOOKUP(INPUT!$A$2,INPUT!$A$5:$AJ$21,34,FALSE)</f>
        <v>-248622</v>
      </c>
      <c r="F17" s="24">
        <f>VLOOKUP(INPUT!$A$2,INPUT!$A$5:$AJ$21,35,FALSE)</f>
        <v>447308</v>
      </c>
      <c r="G17" s="24">
        <f>VLOOKUP(INPUT!$A$2,INPUT!$A$5:$AJ$21,36,FALSE)</f>
        <v>59078</v>
      </c>
    </row>
    <row r="19" spans="1:7" ht="15" x14ac:dyDescent="0.2">
      <c r="A19" s="5" t="str">
        <f>"*"&amp;INPUT!C1</f>
        <v>*CSX Transportation Inc.'s quarter ended on March 25, 2016.</v>
      </c>
      <c r="B19" s="5"/>
      <c r="C19" s="5"/>
    </row>
    <row r="20" spans="1:7" ht="15" x14ac:dyDescent="0.2">
      <c r="A20" s="5" t="str">
        <f>"*"&amp;INPUT!C2</f>
        <v>*CSX Transportation Inc.'s quarter ended on March 25, 2015.</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Alexander Dusenberry</cp:lastModifiedBy>
  <cp:lastPrinted>2016-05-02T15:20:31Z</cp:lastPrinted>
  <dcterms:created xsi:type="dcterms:W3CDTF">2013-02-13T08:02:04Z</dcterms:created>
  <dcterms:modified xsi:type="dcterms:W3CDTF">2016-05-04T14:07:20Z</dcterms:modified>
</cp:coreProperties>
</file>